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60" yWindow="300" windowWidth="14895" windowHeight="9090"/>
  </bookViews>
  <sheets>
    <sheet name="4metagas" sheetId="1" r:id="rId1"/>
  </sheets>
  <calcPr calcId="144525"/>
</workbook>
</file>

<file path=xl/calcChain.xml><?xml version="1.0" encoding="utf-8"?>
<calcChain xmlns="http://schemas.openxmlformats.org/spreadsheetml/2006/main">
  <c r="E27" i="1" l="1"/>
  <c r="D27" i="1" s="1"/>
  <c r="C27" i="1"/>
  <c r="I72" i="1" s="1"/>
  <c r="J72" i="1" s="1"/>
  <c r="G77" i="1"/>
  <c r="E77" i="1"/>
  <c r="G76" i="1"/>
  <c r="E76" i="1"/>
  <c r="G73" i="1"/>
  <c r="D73" i="1"/>
  <c r="G72" i="1"/>
  <c r="D72" i="1"/>
  <c r="G71" i="1"/>
  <c r="D71" i="1"/>
  <c r="G70" i="1"/>
  <c r="E70" i="1"/>
  <c r="G69" i="1"/>
  <c r="E69" i="1"/>
  <c r="G68" i="1"/>
  <c r="E68" i="1"/>
  <c r="G65" i="1"/>
  <c r="E65" i="1"/>
  <c r="G64" i="1"/>
  <c r="D64" i="1"/>
  <c r="G63" i="1"/>
  <c r="D63" i="1"/>
  <c r="G62" i="1"/>
  <c r="E62" i="1"/>
  <c r="G61" i="1"/>
  <c r="E61" i="1"/>
  <c r="G60" i="1"/>
  <c r="E60" i="1"/>
  <c r="G57" i="1"/>
  <c r="E57" i="1"/>
  <c r="G56" i="1"/>
  <c r="E56" i="1"/>
  <c r="G55" i="1"/>
  <c r="E55" i="1"/>
  <c r="G54" i="1"/>
  <c r="E54" i="1"/>
  <c r="G53" i="1"/>
  <c r="E53" i="1"/>
  <c r="G52" i="1"/>
  <c r="E52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39" i="1"/>
  <c r="E39" i="1"/>
  <c r="G38" i="1"/>
  <c r="E38" i="1"/>
  <c r="G37" i="1"/>
  <c r="E37" i="1"/>
  <c r="G36" i="1"/>
  <c r="E36" i="1"/>
  <c r="G35" i="1"/>
  <c r="E35" i="1"/>
  <c r="I38" i="1" l="1"/>
  <c r="I77" i="1"/>
  <c r="J77" i="1" s="1"/>
  <c r="I52" i="1"/>
  <c r="J52" i="1" s="1"/>
  <c r="H35" i="1"/>
  <c r="H37" i="1"/>
  <c r="H43" i="1"/>
  <c r="H47" i="1"/>
  <c r="H53" i="1"/>
  <c r="H57" i="1"/>
  <c r="H69" i="1"/>
  <c r="H39" i="1"/>
  <c r="H45" i="1"/>
  <c r="H49" i="1"/>
  <c r="H55" i="1"/>
  <c r="H61" i="1"/>
  <c r="H65" i="1"/>
  <c r="I44" i="1"/>
  <c r="J44" i="1" s="1"/>
  <c r="L63" i="1"/>
  <c r="H77" i="1"/>
  <c r="K77" i="1" s="1"/>
  <c r="I42" i="1"/>
  <c r="J42" i="1" s="1"/>
  <c r="I56" i="1"/>
  <c r="J56" i="1" s="1"/>
  <c r="I36" i="1"/>
  <c r="J36" i="1" s="1"/>
  <c r="I46" i="1"/>
  <c r="J46" i="1" s="1"/>
  <c r="L36" i="1"/>
  <c r="L42" i="1"/>
  <c r="L46" i="1"/>
  <c r="L52" i="1"/>
  <c r="L56" i="1"/>
  <c r="I65" i="1"/>
  <c r="J65" i="1" s="1"/>
  <c r="L73" i="1"/>
  <c r="I48" i="1"/>
  <c r="J48" i="1" s="1"/>
  <c r="I54" i="1"/>
  <c r="J54" i="1" s="1"/>
  <c r="I60" i="1"/>
  <c r="J60" i="1" s="1"/>
  <c r="I69" i="1"/>
  <c r="J69" i="1" s="1"/>
  <c r="L77" i="1"/>
  <c r="L38" i="1"/>
  <c r="L44" i="1"/>
  <c r="L48" i="1"/>
  <c r="L54" i="1"/>
  <c r="I62" i="1"/>
  <c r="J62" i="1" s="1"/>
  <c r="H71" i="1"/>
  <c r="L60" i="1"/>
  <c r="L62" i="1"/>
  <c r="H64" i="1"/>
  <c r="L65" i="1"/>
  <c r="L69" i="1"/>
  <c r="I71" i="1"/>
  <c r="J71" i="1" s="1"/>
  <c r="L72" i="1"/>
  <c r="I76" i="1"/>
  <c r="J76" i="1" s="1"/>
  <c r="H36" i="1"/>
  <c r="K36" i="1" s="1"/>
  <c r="H42" i="1"/>
  <c r="H46" i="1"/>
  <c r="K46" i="1" s="1"/>
  <c r="H48" i="1"/>
  <c r="H52" i="1"/>
  <c r="H54" i="1"/>
  <c r="H56" i="1"/>
  <c r="H60" i="1"/>
  <c r="K60" i="1" s="1"/>
  <c r="H62" i="1"/>
  <c r="H68" i="1"/>
  <c r="H70" i="1"/>
  <c r="H76" i="1"/>
  <c r="I35" i="1"/>
  <c r="J35" i="1" s="1"/>
  <c r="I37" i="1"/>
  <c r="J37" i="1" s="1"/>
  <c r="I39" i="1"/>
  <c r="J39" i="1" s="1"/>
  <c r="I43" i="1"/>
  <c r="J43" i="1" s="1"/>
  <c r="I45" i="1"/>
  <c r="J45" i="1" s="1"/>
  <c r="I47" i="1"/>
  <c r="J47" i="1" s="1"/>
  <c r="I49" i="1"/>
  <c r="J49" i="1" s="1"/>
  <c r="I53" i="1"/>
  <c r="J53" i="1" s="1"/>
  <c r="I55" i="1"/>
  <c r="J55" i="1" s="1"/>
  <c r="I57" i="1"/>
  <c r="J57" i="1" s="1"/>
  <c r="I61" i="1"/>
  <c r="J61" i="1" s="1"/>
  <c r="H63" i="1"/>
  <c r="I64" i="1"/>
  <c r="J64" i="1" s="1"/>
  <c r="I68" i="1"/>
  <c r="J68" i="1" s="1"/>
  <c r="I70" i="1"/>
  <c r="J70" i="1" s="1"/>
  <c r="L71" i="1"/>
  <c r="H73" i="1"/>
  <c r="L76" i="1"/>
  <c r="H38" i="1"/>
  <c r="K38" i="1" s="1"/>
  <c r="H44" i="1"/>
  <c r="K44" i="1" s="1"/>
  <c r="G27" i="1"/>
  <c r="L35" i="1"/>
  <c r="L37" i="1"/>
  <c r="L39" i="1"/>
  <c r="L43" i="1"/>
  <c r="L45" i="1"/>
  <c r="L47" i="1"/>
  <c r="L49" i="1"/>
  <c r="L53" i="1"/>
  <c r="L55" i="1"/>
  <c r="L57" i="1"/>
  <c r="L61" i="1"/>
  <c r="I63" i="1"/>
  <c r="J63" i="1" s="1"/>
  <c r="L64" i="1"/>
  <c r="L68" i="1"/>
  <c r="L70" i="1"/>
  <c r="H72" i="1"/>
  <c r="K72" i="1" s="1"/>
  <c r="I73" i="1"/>
  <c r="J73" i="1" s="1"/>
  <c r="K52" i="1"/>
  <c r="K76" i="1"/>
  <c r="J38" i="1"/>
  <c r="K73" i="1" l="1"/>
  <c r="K65" i="1"/>
  <c r="K69" i="1"/>
  <c r="K45" i="1"/>
  <c r="K70" i="1"/>
  <c r="K56" i="1"/>
  <c r="K64" i="1"/>
  <c r="K39" i="1"/>
  <c r="K43" i="1"/>
  <c r="K54" i="1"/>
  <c r="K42" i="1"/>
  <c r="K62" i="1"/>
  <c r="K63" i="1"/>
  <c r="K61" i="1"/>
  <c r="K35" i="1"/>
  <c r="K49" i="1"/>
  <c r="K37" i="1"/>
  <c r="K48" i="1"/>
  <c r="K57" i="1"/>
  <c r="K68" i="1"/>
  <c r="K47" i="1"/>
  <c r="K55" i="1"/>
  <c r="K71" i="1"/>
  <c r="K53" i="1"/>
</calcChain>
</file>

<file path=xl/sharedStrings.xml><?xml version="1.0" encoding="utf-8"?>
<sst xmlns="http://schemas.openxmlformats.org/spreadsheetml/2006/main" count="111" uniqueCount="81">
  <si>
    <t xml:space="preserve">          A Knowledge Based System For Formation Evaluation     </t>
  </si>
  <si>
    <t>PROGRAM DOCUMENTATION</t>
  </si>
  <si>
    <t>g/cc</t>
  </si>
  <si>
    <t>Well Name</t>
  </si>
  <si>
    <t>PCP Beaverlodge 11-36</t>
  </si>
  <si>
    <t xml:space="preserve">Analyst  </t>
  </si>
  <si>
    <t>E. R. Crain, P.Eng.</t>
  </si>
  <si>
    <t>Field / Zone</t>
  </si>
  <si>
    <t>Beaverlodge / Halfway</t>
  </si>
  <si>
    <t xml:space="preserve">Date  </t>
  </si>
  <si>
    <t xml:space="preserve"> 2018-09-27</t>
  </si>
  <si>
    <t xml:space="preserve">    </t>
  </si>
  <si>
    <t>c. E. R. Crain, P.Eng. 2018</t>
  </si>
  <si>
    <t xml:space="preserve">                      META/LOG "LITH"</t>
  </si>
  <si>
    <t xml:space="preserve">                CALCULATE LITHOLOGY ANALYSIS PARAMETERS</t>
  </si>
  <si>
    <t>Mineral</t>
  </si>
  <si>
    <t>PHIN</t>
  </si>
  <si>
    <t>DENS</t>
  </si>
  <si>
    <t>DTC</t>
  </si>
  <si>
    <t>PE</t>
  </si>
  <si>
    <t>Uma</t>
  </si>
  <si>
    <t>Mlith</t>
  </si>
  <si>
    <t>Nlith</t>
  </si>
  <si>
    <t>Alith</t>
  </si>
  <si>
    <t>Klith</t>
  </si>
  <si>
    <t>Plith</t>
  </si>
  <si>
    <t>K2O</t>
  </si>
  <si>
    <t>Ls</t>
  </si>
  <si>
    <t>us/m</t>
  </si>
  <si>
    <t>us/ft</t>
  </si>
  <si>
    <t>barns</t>
  </si>
  <si>
    <t>cu</t>
  </si>
  <si>
    <t>frac</t>
  </si>
  <si>
    <t>COMMON SEDIMENTARY MINERALS</t>
  </si>
  <si>
    <t>Water</t>
  </si>
  <si>
    <t>Quartz             </t>
  </si>
  <si>
    <t>Calcite</t>
  </si>
  <si>
    <t>Dolomite   </t>
  </si>
  <si>
    <t>Anhydrite</t>
  </si>
  <si>
    <t>Gypsum</t>
  </si>
  <si>
    <t>CLAY MINERALS</t>
  </si>
  <si>
    <t>Muscovite</t>
  </si>
  <si>
    <t>Biotite</t>
  </si>
  <si>
    <t>Kaolinite</t>
  </si>
  <si>
    <t>Glauconite</t>
  </si>
  <si>
    <t>Illite</t>
  </si>
  <si>
    <t>Chlorite</t>
  </si>
  <si>
    <t>Montmorillonite</t>
  </si>
  <si>
    <t>Barite             </t>
  </si>
  <si>
    <t>FELDSPARS and IRON-RICH MINERALS</t>
  </si>
  <si>
    <t>Albite</t>
  </si>
  <si>
    <t>Anorthite</t>
  </si>
  <si>
    <t>Orthoclase    </t>
  </si>
  <si>
    <t>Siderite</t>
  </si>
  <si>
    <t>Ankerite</t>
  </si>
  <si>
    <t>Pyrite</t>
  </si>
  <si>
    <t>EVAPORITE MINERALS</t>
  </si>
  <si>
    <t>Halite</t>
  </si>
  <si>
    <t>Trona</t>
  </si>
  <si>
    <t>Sulphur</t>
  </si>
  <si>
    <t>Fluorite</t>
  </si>
  <si>
    <t>POTASH MINERALS</t>
  </si>
  <si>
    <t>Sylvite            </t>
  </si>
  <si>
    <t>Carnalite</t>
  </si>
  <si>
    <t>Langbeinite</t>
  </si>
  <si>
    <t>Polyhalite</t>
  </si>
  <si>
    <t>Kainite</t>
  </si>
  <si>
    <t>COAL MINERALS</t>
  </si>
  <si>
    <t>Anthracite</t>
  </si>
  <si>
    <t>Lignite</t>
  </si>
  <si>
    <t>Edit estimated water properties if desired.</t>
  </si>
  <si>
    <t>Read mineral analysis properties in RESULTS section.</t>
  </si>
  <si>
    <t>Enter estimated mud filtrate salinity (ppm) in INPUT PARAMETERS.</t>
  </si>
  <si>
    <t>Mud Filtrate Salinity</t>
  </si>
  <si>
    <t xml:space="preserve"> ppm</t>
  </si>
  <si>
    <t>DENSW</t>
  </si>
  <si>
    <t>PHINW</t>
  </si>
  <si>
    <t>DTCW</t>
  </si>
  <si>
    <t xml:space="preserve"> MINERAL PROPERTIES RESULTS</t>
  </si>
  <si>
    <t xml:space="preserve"> INPUT PARAMETERS</t>
  </si>
  <si>
    <t>If value is unknown, enter 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</si>
</sst>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0.0"/>
  </numFmts>
  <fonts count="14">
    <font>
      <sz val="10"/>
      <name val="Arial"/>
    </font>
    <font>
      <sz val="10"/>
      <name val="Arial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8"/>
      <name val="COUR"/>
    </font>
    <font>
      <b/>
      <sz val="12"/>
      <color indexed="8"/>
      <name val="COUR"/>
    </font>
    <font>
      <b/>
      <sz val="10"/>
      <name val="Arial"/>
    </font>
    <font>
      <b/>
      <sz val="14"/>
      <color indexed="9"/>
      <name val="Arial"/>
    </font>
    <font>
      <sz val="10"/>
      <name val="Arial"/>
    </font>
    <font>
      <b/>
      <sz val="24"/>
      <color indexed="13"/>
      <name val="Times New Roman"/>
      <family val="1"/>
    </font>
    <font>
      <b/>
      <sz val="10"/>
      <color indexed="8"/>
      <name val="Arial"/>
      <family val="2"/>
    </font>
    <font>
      <sz val="10"/>
      <name val="COUR"/>
    </font>
    <font>
      <b/>
      <sz val="10"/>
      <color theme="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1">
    <xf numFmtId="2" fontId="0" fillId="0" borderId="0"/>
  </cellStyleXfs>
  <cellXfs count="63">
    <xf numFmtId="0" fontId="8" fillId="0" borderId="0" xfId="0" applyNumberFormat="1" applyFont="1" applyAlignment="1" applyProtection="1">
      <protection locked="0"/>
    </xf>
    <xf numFmtId="2" fontId="0" fillId="2" borderId="1" xfId="0" applyFill="1" applyBorder="1" applyAlignment="1"/>
    <xf numFmtId="0" fontId="1" fillId="0" borderId="0" xfId="0" applyNumberFormat="1" applyFont="1" applyAlignment="1"/>
    <xf numFmtId="2" fontId="2" fillId="2" borderId="0" xfId="0" applyFont="1" applyFill="1" applyAlignment="1"/>
    <xf numFmtId="2" fontId="3" fillId="2" borderId="0" xfId="0" applyFont="1" applyFill="1" applyAlignment="1"/>
    <xf numFmtId="2" fontId="5" fillId="3" borderId="1" xfId="0" applyFont="1" applyFill="1" applyBorder="1" applyAlignment="1"/>
    <xf numFmtId="0" fontId="6" fillId="0" borderId="1" xfId="0" applyNumberFormat="1" applyFont="1" applyBorder="1" applyAlignment="1"/>
    <xf numFmtId="0" fontId="6" fillId="0" borderId="0" xfId="0" applyNumberFormat="1" applyFont="1" applyAlignment="1"/>
    <xf numFmtId="0" fontId="10" fillId="0" borderId="0" xfId="0" applyNumberFormat="1" applyFont="1" applyAlignment="1"/>
    <xf numFmtId="0" fontId="10" fillId="0" borderId="2" xfId="0" applyNumberFormat="1" applyFont="1" applyBorder="1" applyAlignment="1"/>
    <xf numFmtId="0" fontId="10" fillId="0" borderId="1" xfId="0" applyNumberFormat="1" applyFont="1" applyBorder="1" applyAlignment="1"/>
    <xf numFmtId="0" fontId="10" fillId="0" borderId="3" xfId="0" applyNumberFormat="1" applyFont="1" applyBorder="1" applyAlignment="1"/>
    <xf numFmtId="0" fontId="10" fillId="0" borderId="0" xfId="0" applyNumberFormat="1" applyFont="1" applyAlignment="1">
      <alignment horizontal="right"/>
    </xf>
    <xf numFmtId="15" fontId="10" fillId="0" borderId="2" xfId="0" applyNumberFormat="1" applyFont="1" applyBorder="1" applyAlignment="1"/>
    <xf numFmtId="2" fontId="11" fillId="0" borderId="0" xfId="0" applyNumberFormat="1" applyFont="1" applyAlignment="1"/>
    <xf numFmtId="0" fontId="10" fillId="0" borderId="0" xfId="0" applyNumberFormat="1" applyFont="1" applyBorder="1" applyAlignment="1"/>
    <xf numFmtId="2" fontId="4" fillId="4" borderId="4" xfId="0" applyNumberFormat="1" applyFont="1" applyFill="1" applyBorder="1" applyAlignment="1"/>
    <xf numFmtId="2" fontId="11" fillId="0" borderId="3" xfId="0" applyNumberFormat="1" applyFont="1" applyBorder="1" applyAlignment="1"/>
    <xf numFmtId="0" fontId="7" fillId="2" borderId="5" xfId="0" applyNumberFormat="1" applyFont="1" applyFill="1" applyBorder="1" applyAlignment="1"/>
    <xf numFmtId="0" fontId="7" fillId="2" borderId="7" xfId="0" applyNumberFormat="1" applyFont="1" applyFill="1" applyBorder="1" applyAlignment="1"/>
    <xf numFmtId="2" fontId="9" fillId="2" borderId="9" xfId="0" applyFont="1" applyFill="1" applyBorder="1" applyAlignment="1"/>
    <xf numFmtId="2" fontId="2" fillId="2" borderId="3" xfId="0" applyFont="1" applyFill="1" applyBorder="1" applyAlignment="1"/>
    <xf numFmtId="2" fontId="3" fillId="2" borderId="3" xfId="0" applyFont="1" applyFill="1" applyBorder="1" applyAlignment="1"/>
    <xf numFmtId="2" fontId="4" fillId="3" borderId="10" xfId="0" applyFont="1" applyFill="1" applyBorder="1" applyAlignment="1"/>
    <xf numFmtId="0" fontId="6" fillId="0" borderId="10" xfId="0" applyNumberFormat="1" applyFont="1" applyBorder="1" applyAlignment="1"/>
    <xf numFmtId="0" fontId="6" fillId="0" borderId="3" xfId="0" applyNumberFormat="1" applyFont="1" applyBorder="1" applyAlignment="1"/>
    <xf numFmtId="0" fontId="1" fillId="0" borderId="3" xfId="0" applyNumberFormat="1" applyFont="1" applyBorder="1" applyAlignment="1"/>
    <xf numFmtId="2" fontId="13" fillId="0" borderId="0" xfId="0" applyFont="1" applyAlignment="1">
      <alignment horizontal="center"/>
    </xf>
    <xf numFmtId="2" fontId="0" fillId="0" borderId="0" xfId="0"/>
    <xf numFmtId="2" fontId="13" fillId="0" borderId="0" xfId="0" applyFont="1"/>
    <xf numFmtId="166" fontId="13" fillId="0" borderId="0" xfId="0" applyNumberFormat="1" applyFont="1"/>
    <xf numFmtId="2" fontId="13" fillId="0" borderId="0" xfId="0" applyNumberFormat="1" applyFont="1"/>
    <xf numFmtId="1" fontId="13" fillId="0" borderId="0" xfId="0" applyNumberFormat="1" applyFont="1"/>
    <xf numFmtId="166" fontId="0" fillId="0" borderId="0" xfId="0" applyNumberFormat="1"/>
    <xf numFmtId="167" fontId="13" fillId="0" borderId="0" xfId="0" applyNumberFormat="1" applyFont="1"/>
    <xf numFmtId="2" fontId="12" fillId="5" borderId="7" xfId="0" applyFont="1" applyFill="1" applyBorder="1"/>
    <xf numFmtId="2" fontId="12" fillId="5" borderId="5" xfId="0" applyFont="1" applyFill="1" applyBorder="1"/>
    <xf numFmtId="2" fontId="12" fillId="5" borderId="9" xfId="0" applyFont="1" applyFill="1" applyBorder="1"/>
    <xf numFmtId="2" fontId="12" fillId="5" borderId="11" xfId="0" applyFont="1" applyFill="1" applyBorder="1"/>
    <xf numFmtId="2" fontId="12" fillId="5" borderId="12" xfId="0" applyFont="1" applyFill="1" applyBorder="1" applyAlignment="1">
      <alignment horizontal="center"/>
    </xf>
    <xf numFmtId="2" fontId="12" fillId="5" borderId="13" xfId="0" applyFont="1" applyFill="1" applyBorder="1" applyAlignment="1">
      <alignment horizontal="center"/>
    </xf>
    <xf numFmtId="2" fontId="12" fillId="5" borderId="9" xfId="0" applyFont="1" applyFill="1" applyBorder="1" applyAlignment="1">
      <alignment horizontal="center"/>
    </xf>
    <xf numFmtId="2" fontId="12" fillId="5" borderId="11" xfId="0" applyFont="1" applyFill="1" applyBorder="1" applyAlignment="1">
      <alignment horizontal="center"/>
    </xf>
    <xf numFmtId="0" fontId="13" fillId="0" borderId="3" xfId="0" applyNumberFormat="1" applyFont="1" applyBorder="1" applyAlignment="1"/>
    <xf numFmtId="2" fontId="12" fillId="5" borderId="3" xfId="0" applyFont="1" applyFill="1" applyBorder="1"/>
    <xf numFmtId="2" fontId="12" fillId="5" borderId="0" xfId="0" applyFont="1" applyFill="1" applyBorder="1"/>
    <xf numFmtId="167" fontId="12" fillId="5" borderId="0" xfId="0" applyNumberFormat="1" applyFont="1" applyFill="1" applyBorder="1"/>
    <xf numFmtId="1" fontId="12" fillId="5" borderId="6" xfId="0" applyNumberFormat="1" applyFont="1" applyFill="1" applyBorder="1"/>
    <xf numFmtId="2" fontId="13" fillId="0" borderId="14" xfId="0" applyNumberFormat="1" applyFont="1" applyBorder="1"/>
    <xf numFmtId="1" fontId="13" fillId="0" borderId="14" xfId="0" applyNumberFormat="1" applyFont="1" applyBorder="1"/>
    <xf numFmtId="167" fontId="0" fillId="0" borderId="0" xfId="0" applyNumberFormat="1"/>
    <xf numFmtId="0" fontId="8" fillId="0" borderId="3" xfId="0" applyNumberFormat="1" applyFont="1" applyBorder="1" applyAlignment="1" applyProtection="1">
      <protection locked="0"/>
    </xf>
    <xf numFmtId="0" fontId="1" fillId="0" borderId="0" xfId="0" applyNumberFormat="1" applyFont="1" applyBorder="1" applyAlignment="1"/>
    <xf numFmtId="0" fontId="1" fillId="0" borderId="13" xfId="0" applyNumberFormat="1" applyFont="1" applyBorder="1" applyAlignment="1"/>
    <xf numFmtId="0" fontId="1" fillId="0" borderId="11" xfId="0" applyNumberFormat="1" applyFont="1" applyBorder="1" applyAlignment="1"/>
    <xf numFmtId="0" fontId="1" fillId="0" borderId="5" xfId="0" applyNumberFormat="1" applyFont="1" applyBorder="1" applyAlignment="1"/>
    <xf numFmtId="0" fontId="1" fillId="0" borderId="8" xfId="0" applyNumberFormat="1" applyFont="1" applyBorder="1" applyAlignment="1"/>
    <xf numFmtId="0" fontId="8" fillId="0" borderId="7" xfId="0" applyNumberFormat="1" applyFont="1" applyBorder="1" applyAlignment="1" applyProtection="1">
      <protection locked="0"/>
    </xf>
    <xf numFmtId="0" fontId="8" fillId="0" borderId="5" xfId="0" applyNumberFormat="1" applyFont="1" applyBorder="1" applyAlignment="1" applyProtection="1">
      <protection locked="0"/>
    </xf>
    <xf numFmtId="0" fontId="8" fillId="0" borderId="8" xfId="0" applyNumberFormat="1" applyFont="1" applyBorder="1" applyAlignment="1" applyProtection="1">
      <protection locked="0"/>
    </xf>
    <xf numFmtId="2" fontId="13" fillId="0" borderId="3" xfId="0" applyFont="1" applyBorder="1"/>
    <xf numFmtId="2" fontId="13" fillId="0" borderId="3" xfId="0" applyFont="1" applyBorder="1" applyAlignment="1">
      <alignment horizontal="center"/>
    </xf>
    <xf numFmtId="2" fontId="1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80"/>
  <sheetViews>
    <sheetView showGridLines="0" tabSelected="1" showOutlineSymbols="0" zoomScale="126" zoomScaleNormal="126" workbookViewId="0"/>
  </sheetViews>
  <sheetFormatPr defaultColWidth="8.7109375" defaultRowHeight="12.75"/>
  <cols>
    <col min="1" max="1" width="15.42578125" customWidth="1"/>
    <col min="2" max="12" width="7.7109375" customWidth="1"/>
  </cols>
  <sheetData>
    <row r="1" spans="1:14" ht="30.75" thickTop="1">
      <c r="A1" s="20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6"/>
    </row>
    <row r="2" spans="1:14" ht="18">
      <c r="A2" s="21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6"/>
    </row>
    <row r="3" spans="1:14" ht="18">
      <c r="A3" s="21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6"/>
    </row>
    <row r="4" spans="1:14" ht="13.5" thickBot="1">
      <c r="A4" s="2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6"/>
    </row>
    <row r="5" spans="1:14" ht="17.25" thickTop="1" thickBot="1">
      <c r="A5" s="23" t="s">
        <v>12</v>
      </c>
      <c r="B5" s="5"/>
      <c r="C5" s="5"/>
      <c r="D5" s="5"/>
      <c r="E5" s="5"/>
      <c r="F5" s="5"/>
      <c r="G5" s="5"/>
      <c r="H5" s="5"/>
      <c r="I5" s="5"/>
      <c r="J5" s="55"/>
      <c r="K5" s="55"/>
      <c r="L5" s="55"/>
      <c r="M5" s="56"/>
      <c r="N5" s="26"/>
    </row>
    <row r="6" spans="1:14" ht="14.25" thickTop="1" thickBot="1">
      <c r="A6" s="24"/>
      <c r="B6" s="6"/>
      <c r="C6" s="6"/>
      <c r="D6" s="6"/>
      <c r="E6" s="6"/>
      <c r="F6" s="6"/>
      <c r="G6" s="6"/>
      <c r="H6" s="6"/>
      <c r="I6" s="6"/>
      <c r="J6" s="52"/>
      <c r="K6" s="2"/>
      <c r="L6" s="2"/>
      <c r="M6" s="2"/>
      <c r="N6" s="26"/>
    </row>
    <row r="7" spans="1:14" ht="14.25" thickTop="1" thickBot="1">
      <c r="A7" s="11" t="s">
        <v>3</v>
      </c>
      <c r="B7" s="8"/>
      <c r="C7" s="9" t="s">
        <v>4</v>
      </c>
      <c r="D7" s="10"/>
      <c r="E7" s="10"/>
      <c r="F7" s="11"/>
      <c r="G7" s="12" t="s">
        <v>5</v>
      </c>
      <c r="H7" s="9" t="s">
        <v>6</v>
      </c>
      <c r="I7" s="10"/>
      <c r="J7" s="56"/>
      <c r="K7" s="2"/>
      <c r="L7" s="2"/>
      <c r="M7" s="2"/>
      <c r="N7" s="26"/>
    </row>
    <row r="8" spans="1:14" ht="14.25" thickTop="1" thickBot="1">
      <c r="A8" s="11" t="s">
        <v>7</v>
      </c>
      <c r="B8" s="8"/>
      <c r="C8" s="9" t="s">
        <v>8</v>
      </c>
      <c r="D8" s="10"/>
      <c r="E8" s="10"/>
      <c r="F8" s="11"/>
      <c r="G8" s="12" t="s">
        <v>9</v>
      </c>
      <c r="H8" s="13" t="s">
        <v>10</v>
      </c>
      <c r="I8" s="10"/>
      <c r="J8" s="56"/>
      <c r="K8" s="2"/>
      <c r="L8" s="2"/>
      <c r="M8" s="2"/>
      <c r="N8" s="26"/>
    </row>
    <row r="9" spans="1:14" ht="14.25" thickTop="1" thickBot="1">
      <c r="A9" s="17"/>
      <c r="B9" s="14"/>
      <c r="C9" s="10"/>
      <c r="D9" s="10"/>
      <c r="E9" s="10"/>
      <c r="F9" s="15"/>
      <c r="G9" s="8" t="s">
        <v>11</v>
      </c>
      <c r="H9" s="16"/>
      <c r="I9" s="10"/>
      <c r="J9" s="52"/>
      <c r="K9" s="2"/>
      <c r="L9" s="2"/>
      <c r="M9" s="2"/>
      <c r="N9" s="26"/>
    </row>
    <row r="10" spans="1:14" ht="19.5" thickTop="1" thickBot="1">
      <c r="A10" s="19" t="s">
        <v>1</v>
      </c>
      <c r="B10" s="18"/>
      <c r="C10" s="18"/>
      <c r="D10" s="18"/>
      <c r="E10" s="18"/>
      <c r="F10" s="18"/>
      <c r="G10" s="18"/>
      <c r="H10" s="18"/>
      <c r="I10" s="18"/>
      <c r="J10" s="55"/>
      <c r="K10" s="55"/>
      <c r="L10" s="55"/>
      <c r="M10" s="56"/>
      <c r="N10" s="26"/>
    </row>
    <row r="11" spans="1:14" ht="13.5" thickTop="1">
      <c r="A11" s="25"/>
      <c r="B11" s="7"/>
      <c r="C11" s="7"/>
      <c r="D11" s="7"/>
      <c r="E11" s="7"/>
      <c r="F11" s="7"/>
      <c r="G11" s="7"/>
      <c r="H11" s="7"/>
      <c r="I11" s="7"/>
      <c r="J11" s="52"/>
      <c r="K11" s="2"/>
      <c r="L11" s="2"/>
      <c r="M11" s="2"/>
      <c r="N11" s="26"/>
    </row>
    <row r="12" spans="1:14">
      <c r="A12" s="43" t="s">
        <v>72</v>
      </c>
      <c r="B12" s="7"/>
      <c r="C12" s="7"/>
      <c r="D12" s="7"/>
      <c r="E12" s="7"/>
      <c r="F12" s="7"/>
      <c r="G12" s="7"/>
      <c r="H12" s="7"/>
      <c r="I12" s="7"/>
      <c r="J12" s="52"/>
      <c r="K12" s="2"/>
      <c r="L12" s="2"/>
      <c r="M12" s="2"/>
      <c r="N12" s="26"/>
    </row>
    <row r="13" spans="1:14">
      <c r="A13" s="25"/>
      <c r="B13" s="7"/>
      <c r="C13" s="7"/>
      <c r="D13" s="7"/>
      <c r="E13" s="7"/>
      <c r="F13" s="7"/>
      <c r="G13" s="7"/>
      <c r="H13" s="7"/>
      <c r="I13" s="7"/>
      <c r="J13" s="52"/>
      <c r="K13" s="2"/>
      <c r="L13" s="2"/>
      <c r="M13" s="2"/>
      <c r="N13" s="26"/>
    </row>
    <row r="14" spans="1:14">
      <c r="A14" s="43" t="s">
        <v>70</v>
      </c>
      <c r="B14" s="7"/>
      <c r="C14" s="7"/>
      <c r="D14" s="7"/>
      <c r="E14" s="7"/>
      <c r="F14" s="7"/>
      <c r="G14" s="7"/>
      <c r="H14" s="7"/>
      <c r="I14" s="7"/>
      <c r="J14" s="52"/>
      <c r="K14" s="2"/>
      <c r="L14" s="2"/>
      <c r="M14" s="2"/>
      <c r="N14" s="26"/>
    </row>
    <row r="15" spans="1:14">
      <c r="A15" s="25"/>
      <c r="B15" s="7"/>
      <c r="C15" s="7"/>
      <c r="D15" s="7"/>
      <c r="E15" s="7"/>
      <c r="F15" s="7"/>
      <c r="G15" s="7"/>
      <c r="H15" s="7"/>
      <c r="I15" s="7"/>
      <c r="J15" s="52"/>
      <c r="K15" s="2"/>
      <c r="L15" s="2"/>
      <c r="M15" s="2"/>
      <c r="N15" s="26"/>
    </row>
    <row r="16" spans="1:14">
      <c r="A16" s="43" t="s">
        <v>71</v>
      </c>
      <c r="B16" s="7"/>
      <c r="C16" s="7"/>
      <c r="D16" s="7"/>
      <c r="E16" s="7"/>
      <c r="F16" s="7"/>
      <c r="G16" s="7"/>
      <c r="H16" s="7"/>
      <c r="I16" s="7"/>
      <c r="J16" s="52"/>
      <c r="K16" s="2"/>
      <c r="L16" s="2"/>
      <c r="M16" s="2"/>
      <c r="N16" s="26"/>
    </row>
    <row r="17" spans="1:14">
      <c r="A17" s="25"/>
      <c r="B17" s="7"/>
      <c r="C17" s="7"/>
      <c r="D17" s="7"/>
      <c r="E17" s="7"/>
      <c r="F17" s="7"/>
      <c r="G17" s="7"/>
      <c r="H17" s="7"/>
      <c r="I17" s="7"/>
      <c r="J17" s="52"/>
      <c r="K17" s="2"/>
      <c r="L17" s="2"/>
      <c r="M17" s="2"/>
      <c r="N17" s="26"/>
    </row>
    <row r="18" spans="1:14">
      <c r="A18" s="25"/>
      <c r="B18" s="7"/>
      <c r="C18" s="7"/>
      <c r="D18" s="7"/>
      <c r="E18" s="7"/>
      <c r="F18" s="7"/>
      <c r="G18" s="7"/>
      <c r="H18" s="7"/>
      <c r="I18" s="7"/>
      <c r="J18" s="52"/>
      <c r="K18" s="2"/>
      <c r="L18" s="2"/>
      <c r="M18" s="2"/>
      <c r="N18" s="26"/>
    </row>
    <row r="19" spans="1:14" ht="13.5" thickBot="1">
      <c r="A19" s="25"/>
      <c r="B19" s="7"/>
      <c r="C19" s="7"/>
      <c r="D19" s="7"/>
      <c r="E19" s="7"/>
      <c r="F19" s="7"/>
      <c r="G19" s="7"/>
      <c r="H19" s="7"/>
      <c r="I19" s="7"/>
      <c r="J19" s="53"/>
      <c r="K19" s="2"/>
      <c r="L19" s="2"/>
      <c r="M19" s="2"/>
      <c r="N19" s="26"/>
    </row>
    <row r="20" spans="1:14" ht="14.25" thickTop="1" thickBot="1">
      <c r="A20" s="35" t="s">
        <v>79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26"/>
    </row>
    <row r="21" spans="1:14" ht="14.25" thickTop="1" thickBot="1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26"/>
    </row>
    <row r="22" spans="1:14" ht="14.25" thickTop="1" thickBot="1">
      <c r="A22" s="44" t="s">
        <v>73</v>
      </c>
      <c r="B22" s="45"/>
      <c r="C22" s="47">
        <v>100000</v>
      </c>
      <c r="D22" s="45" t="s">
        <v>74</v>
      </c>
      <c r="E22" s="45" t="s">
        <v>80</v>
      </c>
      <c r="F22" s="45"/>
      <c r="G22" s="45"/>
      <c r="H22" s="45"/>
      <c r="I22" s="45"/>
      <c r="J22" s="45"/>
      <c r="K22" s="45"/>
      <c r="L22" s="45"/>
      <c r="M22" s="45"/>
      <c r="N22" s="26"/>
    </row>
    <row r="23" spans="1:14" ht="14.25" thickTop="1" thickBot="1">
      <c r="A23" s="44"/>
      <c r="B23" s="45"/>
      <c r="C23" s="46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26"/>
    </row>
    <row r="24" spans="1:14" ht="13.5" thickTop="1">
      <c r="A24" s="41"/>
      <c r="B24" s="42" t="s">
        <v>76</v>
      </c>
      <c r="C24" s="42" t="s">
        <v>75</v>
      </c>
      <c r="D24" s="42" t="s">
        <v>77</v>
      </c>
      <c r="E24" s="42" t="s">
        <v>77</v>
      </c>
      <c r="F24" s="42" t="s">
        <v>19</v>
      </c>
      <c r="G24" s="42" t="s">
        <v>20</v>
      </c>
      <c r="H24" s="42" t="s">
        <v>21</v>
      </c>
      <c r="I24" s="42" t="s">
        <v>22</v>
      </c>
      <c r="J24" s="42" t="s">
        <v>23</v>
      </c>
      <c r="K24" s="42" t="s">
        <v>24</v>
      </c>
      <c r="L24" s="42" t="s">
        <v>25</v>
      </c>
      <c r="M24" s="42" t="s">
        <v>26</v>
      </c>
      <c r="N24" s="26"/>
    </row>
    <row r="25" spans="1:14" ht="13.5" thickBot="1">
      <c r="A25" s="39"/>
      <c r="B25" s="40" t="s">
        <v>27</v>
      </c>
      <c r="C25" s="40" t="s">
        <v>2</v>
      </c>
      <c r="D25" s="40" t="s">
        <v>28</v>
      </c>
      <c r="E25" s="40" t="s">
        <v>29</v>
      </c>
      <c r="F25" s="40" t="s">
        <v>30</v>
      </c>
      <c r="G25" s="40" t="s">
        <v>31</v>
      </c>
      <c r="H25" s="40" t="s">
        <v>32</v>
      </c>
      <c r="I25" s="40" t="s">
        <v>32</v>
      </c>
      <c r="J25" s="40" t="s">
        <v>32</v>
      </c>
      <c r="K25" s="40" t="s">
        <v>32</v>
      </c>
      <c r="L25" s="40" t="s">
        <v>32</v>
      </c>
      <c r="M25" s="40" t="s">
        <v>32</v>
      </c>
      <c r="N25" s="26"/>
    </row>
    <row r="26" spans="1:14" ht="14.25" thickTop="1" thickBot="1">
      <c r="A26" s="25"/>
      <c r="B26" s="7"/>
      <c r="C26" s="7"/>
      <c r="D26" s="7"/>
      <c r="E26" s="7"/>
      <c r="F26" s="7"/>
      <c r="G26" s="7"/>
      <c r="H26" s="7"/>
      <c r="I26" s="7"/>
      <c r="J26" s="54"/>
      <c r="K26" s="2"/>
      <c r="L26" s="2"/>
      <c r="M26" s="2"/>
      <c r="N26" s="26"/>
    </row>
    <row r="27" spans="1:14" ht="14.25" thickTop="1" thickBot="1">
      <c r="A27" s="60" t="s">
        <v>34</v>
      </c>
      <c r="B27" s="30">
        <v>1</v>
      </c>
      <c r="C27" s="48">
        <f>1+C22/1000000</f>
        <v>1.1000000000000001</v>
      </c>
      <c r="D27" s="49">
        <f>3.281*E27</f>
        <v>619.74444444444441</v>
      </c>
      <c r="E27" s="49">
        <f>200-C22/9000</f>
        <v>188.88888888888889</v>
      </c>
      <c r="F27" s="31">
        <v>0.1</v>
      </c>
      <c r="G27" s="31">
        <f>C27*F27</f>
        <v>0.11000000000000001</v>
      </c>
      <c r="H27" s="7"/>
      <c r="I27" s="7"/>
      <c r="J27" s="52"/>
      <c r="K27" s="2"/>
      <c r="L27" s="2"/>
      <c r="M27" s="2"/>
      <c r="N27" s="26"/>
    </row>
    <row r="28" spans="1:14" ht="13.5" thickTop="1">
      <c r="A28" s="25"/>
      <c r="B28" s="7"/>
      <c r="C28" s="7"/>
      <c r="D28" s="7"/>
      <c r="E28" s="7"/>
      <c r="F28" s="7"/>
      <c r="G28" s="7"/>
      <c r="H28" s="7"/>
      <c r="I28" s="7"/>
      <c r="J28" s="52"/>
      <c r="K28" s="2"/>
      <c r="L28" s="2"/>
      <c r="M28" s="2"/>
      <c r="N28" s="26"/>
    </row>
    <row r="29" spans="1:14" ht="13.5" thickBot="1">
      <c r="A29" s="25"/>
      <c r="B29" s="7"/>
      <c r="C29" s="7"/>
      <c r="D29" s="7"/>
      <c r="E29" s="7"/>
      <c r="F29" s="7"/>
      <c r="G29" s="7"/>
      <c r="H29" s="7"/>
      <c r="I29" s="7"/>
      <c r="J29" s="53"/>
      <c r="K29" s="2"/>
      <c r="L29" s="2"/>
      <c r="M29" s="2"/>
      <c r="N29" s="26"/>
    </row>
    <row r="30" spans="1:14" ht="14.25" thickTop="1" thickBot="1">
      <c r="A30" s="35" t="s">
        <v>78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51"/>
    </row>
    <row r="31" spans="1:14" ht="13.5" thickTop="1">
      <c r="A31" s="41" t="s">
        <v>15</v>
      </c>
      <c r="B31" s="42" t="s">
        <v>16</v>
      </c>
      <c r="C31" s="42" t="s">
        <v>17</v>
      </c>
      <c r="D31" s="42" t="s">
        <v>18</v>
      </c>
      <c r="E31" s="42" t="s">
        <v>18</v>
      </c>
      <c r="F31" s="42" t="s">
        <v>19</v>
      </c>
      <c r="G31" s="42" t="s">
        <v>20</v>
      </c>
      <c r="H31" s="42" t="s">
        <v>21</v>
      </c>
      <c r="I31" s="42" t="s">
        <v>22</v>
      </c>
      <c r="J31" s="42" t="s">
        <v>23</v>
      </c>
      <c r="K31" s="42" t="s">
        <v>24</v>
      </c>
      <c r="L31" s="42" t="s">
        <v>25</v>
      </c>
      <c r="M31" s="42" t="s">
        <v>26</v>
      </c>
      <c r="N31" s="51"/>
    </row>
    <row r="32" spans="1:14" ht="13.5" thickBot="1">
      <c r="A32" s="39"/>
      <c r="B32" s="40" t="s">
        <v>27</v>
      </c>
      <c r="C32" s="40" t="s">
        <v>2</v>
      </c>
      <c r="D32" s="40" t="s">
        <v>28</v>
      </c>
      <c r="E32" s="40" t="s">
        <v>29</v>
      </c>
      <c r="F32" s="40" t="s">
        <v>30</v>
      </c>
      <c r="G32" s="40" t="s">
        <v>31</v>
      </c>
      <c r="H32" s="40" t="s">
        <v>32</v>
      </c>
      <c r="I32" s="40" t="s">
        <v>32</v>
      </c>
      <c r="J32" s="40" t="s">
        <v>32</v>
      </c>
      <c r="K32" s="40" t="s">
        <v>32</v>
      </c>
      <c r="L32" s="40" t="s">
        <v>32</v>
      </c>
      <c r="M32" s="40" t="s">
        <v>32</v>
      </c>
      <c r="N32" s="51"/>
    </row>
    <row r="33" spans="1:14" ht="13.5" thickTop="1">
      <c r="A33" s="61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8"/>
      <c r="N33" s="51"/>
    </row>
    <row r="34" spans="1:14">
      <c r="A34" s="60" t="s">
        <v>33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51"/>
    </row>
    <row r="35" spans="1:14">
      <c r="A35" s="60" t="s">
        <v>35</v>
      </c>
      <c r="B35" s="30">
        <v>-2.8000000000000001E-2</v>
      </c>
      <c r="C35" s="31">
        <v>2.65</v>
      </c>
      <c r="D35" s="34">
        <v>182</v>
      </c>
      <c r="E35" s="34">
        <f>D35/3.281</f>
        <v>55.470893020420604</v>
      </c>
      <c r="F35" s="31">
        <v>1.82</v>
      </c>
      <c r="G35" s="31">
        <f>C35*F35</f>
        <v>4.8230000000000004</v>
      </c>
      <c r="H35" s="30">
        <f>0.01*($E$27-E35)/(C35-$C$27)</f>
        <v>0.86076126366753736</v>
      </c>
      <c r="I35" s="30">
        <f>(1-B35)/(C35-$C$27)</f>
        <v>0.663225806451613</v>
      </c>
      <c r="J35" s="30">
        <f>1/I35</f>
        <v>1.5077821011673149</v>
      </c>
      <c r="K35" s="30">
        <f>H35/I35</f>
        <v>1.2978404267360726</v>
      </c>
      <c r="L35" s="30">
        <f>F35/(C35-$C$27)</f>
        <v>1.1741935483870969</v>
      </c>
      <c r="M35" s="28"/>
      <c r="N35" s="51"/>
    </row>
    <row r="36" spans="1:14">
      <c r="A36" s="60" t="s">
        <v>36</v>
      </c>
      <c r="B36" s="30">
        <v>0</v>
      </c>
      <c r="C36" s="31">
        <v>2.71</v>
      </c>
      <c r="D36" s="34">
        <v>155</v>
      </c>
      <c r="E36" s="34">
        <f t="shared" ref="E36:E77" si="0">D36/3.281</f>
        <v>47.241694605303259</v>
      </c>
      <c r="F36" s="31">
        <v>5.09</v>
      </c>
      <c r="G36" s="31">
        <f t="shared" ref="G36:G77" si="1">C36*F36</f>
        <v>13.793899999999999</v>
      </c>
      <c r="H36" s="30">
        <f t="shared" ref="H36:H39" si="2">0.01*($E$27-E36)/(C36-$C$27)</f>
        <v>0.87979623778624627</v>
      </c>
      <c r="I36" s="30">
        <f t="shared" ref="I36:I39" si="3">(1-B36)/(C36-$C$27)</f>
        <v>0.62111801242236031</v>
      </c>
      <c r="J36" s="30">
        <f t="shared" ref="J36:J39" si="4">1/I36</f>
        <v>1.6099999999999999</v>
      </c>
      <c r="K36" s="30">
        <f t="shared" ref="K36:K39" si="5">H36/I36</f>
        <v>1.4164719428358563</v>
      </c>
      <c r="L36" s="30">
        <f t="shared" ref="L36:L39" si="6">F36/(C36-$C$27)</f>
        <v>3.1614906832298137</v>
      </c>
      <c r="M36" s="28"/>
      <c r="N36" s="51"/>
    </row>
    <row r="37" spans="1:14">
      <c r="A37" s="60" t="s">
        <v>37</v>
      </c>
      <c r="B37" s="30">
        <v>5.0000000000000001E-3</v>
      </c>
      <c r="C37" s="31">
        <v>2.87</v>
      </c>
      <c r="D37" s="34">
        <v>144</v>
      </c>
      <c r="E37" s="34">
        <f t="shared" si="0"/>
        <v>43.88905821395916</v>
      </c>
      <c r="F37" s="31">
        <v>3.13</v>
      </c>
      <c r="G37" s="31">
        <f t="shared" si="1"/>
        <v>8.9831000000000003</v>
      </c>
      <c r="H37" s="30">
        <f t="shared" si="2"/>
        <v>0.81920808290920755</v>
      </c>
      <c r="I37" s="30">
        <f t="shared" si="3"/>
        <v>0.56214689265536721</v>
      </c>
      <c r="J37" s="30">
        <f t="shared" si="4"/>
        <v>1.7788944723618092</v>
      </c>
      <c r="K37" s="30">
        <f t="shared" si="5"/>
        <v>1.4572847304013039</v>
      </c>
      <c r="L37" s="30">
        <f t="shared" si="6"/>
        <v>1.768361581920904</v>
      </c>
      <c r="M37" s="28"/>
      <c r="N37" s="51"/>
    </row>
    <row r="38" spans="1:14">
      <c r="A38" s="60" t="s">
        <v>38</v>
      </c>
      <c r="B38" s="30">
        <v>2E-3</v>
      </c>
      <c r="C38" s="31">
        <v>2.95</v>
      </c>
      <c r="D38" s="34">
        <v>164</v>
      </c>
      <c r="E38" s="34">
        <f t="shared" si="0"/>
        <v>49.984760743675707</v>
      </c>
      <c r="F38" s="31">
        <v>5.08</v>
      </c>
      <c r="G38" s="31">
        <f t="shared" si="1"/>
        <v>14.986000000000001</v>
      </c>
      <c r="H38" s="30">
        <f t="shared" si="2"/>
        <v>0.75083312510926037</v>
      </c>
      <c r="I38" s="30">
        <f t="shared" si="3"/>
        <v>0.53945945945945939</v>
      </c>
      <c r="J38" s="30">
        <f t="shared" si="4"/>
        <v>1.8537074148296595</v>
      </c>
      <c r="K38" s="30">
        <f t="shared" si="5"/>
        <v>1.3918249313147615</v>
      </c>
      <c r="L38" s="30">
        <f t="shared" si="6"/>
        <v>2.7459459459459459</v>
      </c>
      <c r="M38" s="28"/>
      <c r="N38" s="51"/>
    </row>
    <row r="39" spans="1:14">
      <c r="A39" s="60" t="s">
        <v>39</v>
      </c>
      <c r="B39" s="30">
        <v>0.49</v>
      </c>
      <c r="C39" s="31">
        <v>2.35</v>
      </c>
      <c r="D39" s="34">
        <v>172</v>
      </c>
      <c r="E39" s="34">
        <f t="shared" si="0"/>
        <v>52.423041755562323</v>
      </c>
      <c r="F39" s="31">
        <v>4.04</v>
      </c>
      <c r="G39" s="31">
        <f t="shared" si="1"/>
        <v>9.4939999999999998</v>
      </c>
      <c r="H39" s="30">
        <f t="shared" si="2"/>
        <v>1.0917267770666128</v>
      </c>
      <c r="I39" s="30">
        <f t="shared" si="3"/>
        <v>0.40800000000000003</v>
      </c>
      <c r="J39" s="30">
        <f t="shared" si="4"/>
        <v>2.4509803921568625</v>
      </c>
      <c r="K39" s="30">
        <f t="shared" si="5"/>
        <v>2.6758009241828744</v>
      </c>
      <c r="L39" s="30">
        <f t="shared" si="6"/>
        <v>3.2320000000000002</v>
      </c>
      <c r="M39" s="28"/>
      <c r="N39" s="51"/>
    </row>
    <row r="40" spans="1:14">
      <c r="A40" s="60"/>
      <c r="B40" s="30"/>
      <c r="C40" s="31"/>
      <c r="D40" s="34"/>
      <c r="E40" s="34"/>
      <c r="F40" s="31"/>
      <c r="G40" s="31"/>
      <c r="H40" s="30"/>
      <c r="I40" s="30"/>
      <c r="J40" s="30"/>
      <c r="K40" s="30"/>
      <c r="L40" s="30"/>
      <c r="M40" s="28"/>
      <c r="N40" s="51"/>
    </row>
    <row r="41" spans="1:14">
      <c r="A41" s="60" t="s">
        <v>40</v>
      </c>
      <c r="B41" s="30"/>
      <c r="C41" s="31"/>
      <c r="D41" s="34"/>
      <c r="E41" s="34"/>
      <c r="F41" s="31"/>
      <c r="G41" s="31"/>
      <c r="H41" s="30"/>
      <c r="I41" s="30"/>
      <c r="J41" s="30"/>
      <c r="K41" s="30"/>
      <c r="L41" s="30"/>
      <c r="M41" s="28"/>
      <c r="N41" s="51"/>
    </row>
    <row r="42" spans="1:14">
      <c r="A42" s="60" t="s">
        <v>41</v>
      </c>
      <c r="B42" s="30">
        <v>0.16500000000000001</v>
      </c>
      <c r="C42" s="31">
        <v>2.83</v>
      </c>
      <c r="D42" s="34">
        <v>155</v>
      </c>
      <c r="E42" s="34">
        <f t="shared" si="0"/>
        <v>47.241694605303259</v>
      </c>
      <c r="F42" s="31">
        <v>2.4</v>
      </c>
      <c r="G42" s="31">
        <f t="shared" si="1"/>
        <v>6.7919999999999998</v>
      </c>
      <c r="H42" s="30">
        <f t="shared" ref="H42:H49" si="7">0.01*($E$27-E42)/(C42-$C$27)</f>
        <v>0.8187699091536742</v>
      </c>
      <c r="I42" s="30">
        <f t="shared" ref="I42:I49" si="8">(1-B42)/(C42-$C$27)</f>
        <v>0.48265895953757226</v>
      </c>
      <c r="J42" s="30">
        <f t="shared" ref="J42:J49" si="9">1/I42</f>
        <v>2.0718562874251498</v>
      </c>
      <c r="K42" s="30">
        <f t="shared" ref="K42:K49" si="10">H42/I42</f>
        <v>1.6963735842345584</v>
      </c>
      <c r="L42" s="30">
        <f t="shared" ref="L42:L49" si="11">F42/(C42-$C$27)</f>
        <v>1.3872832369942196</v>
      </c>
      <c r="M42" s="28"/>
      <c r="N42" s="51"/>
    </row>
    <row r="43" spans="1:14">
      <c r="A43" s="60" t="s">
        <v>42</v>
      </c>
      <c r="B43" s="30">
        <v>0.22500000000000001</v>
      </c>
      <c r="C43" s="31">
        <v>3.2</v>
      </c>
      <c r="D43" s="34">
        <v>182</v>
      </c>
      <c r="E43" s="34">
        <f t="shared" si="0"/>
        <v>55.470893020420604</v>
      </c>
      <c r="F43" s="31">
        <v>8.59</v>
      </c>
      <c r="G43" s="31">
        <f t="shared" si="1"/>
        <v>27.488</v>
      </c>
      <c r="H43" s="30">
        <f t="shared" si="7"/>
        <v>0.63532378984984894</v>
      </c>
      <c r="I43" s="30">
        <f t="shared" si="8"/>
        <v>0.36904761904761907</v>
      </c>
      <c r="J43" s="30">
        <f t="shared" si="9"/>
        <v>2.7096774193548385</v>
      </c>
      <c r="K43" s="30">
        <f t="shared" si="10"/>
        <v>1.7215225273350745</v>
      </c>
      <c r="L43" s="30">
        <f t="shared" si="11"/>
        <v>4.0904761904761902</v>
      </c>
      <c r="M43" s="28"/>
      <c r="N43" s="51"/>
    </row>
    <row r="44" spans="1:14">
      <c r="A44" s="60" t="s">
        <v>43</v>
      </c>
      <c r="B44" s="30">
        <v>0.49099999999999999</v>
      </c>
      <c r="C44" s="31">
        <v>2.64</v>
      </c>
      <c r="D44" s="34">
        <v>211</v>
      </c>
      <c r="E44" s="34">
        <f t="shared" si="0"/>
        <v>64.309661688509593</v>
      </c>
      <c r="F44" s="31">
        <v>1.47</v>
      </c>
      <c r="G44" s="31">
        <f t="shared" si="1"/>
        <v>3.8808000000000002</v>
      </c>
      <c r="H44" s="30">
        <f t="shared" si="7"/>
        <v>0.80895602078168383</v>
      </c>
      <c r="I44" s="30">
        <f t="shared" si="8"/>
        <v>0.33051948051948049</v>
      </c>
      <c r="J44" s="30">
        <f t="shared" si="9"/>
        <v>3.0255402750491163</v>
      </c>
      <c r="K44" s="30">
        <f t="shared" si="10"/>
        <v>2.4475290216184544</v>
      </c>
      <c r="L44" s="30">
        <f t="shared" si="11"/>
        <v>0.95454545454545447</v>
      </c>
      <c r="M44" s="28"/>
      <c r="N44" s="51"/>
    </row>
    <row r="45" spans="1:14">
      <c r="A45" s="60" t="s">
        <v>44</v>
      </c>
      <c r="B45" s="30">
        <v>0.17499999999999999</v>
      </c>
      <c r="C45" s="31">
        <v>2.83</v>
      </c>
      <c r="D45" s="34">
        <v>182</v>
      </c>
      <c r="E45" s="34">
        <f t="shared" si="0"/>
        <v>55.470893020420604</v>
      </c>
      <c r="F45" s="31">
        <v>4.7699999999999996</v>
      </c>
      <c r="G45" s="31">
        <f t="shared" si="1"/>
        <v>13.499099999999999</v>
      </c>
      <c r="H45" s="30">
        <f t="shared" si="7"/>
        <v>0.77120228825704207</v>
      </c>
      <c r="I45" s="30">
        <f t="shared" si="8"/>
        <v>0.47687861271676296</v>
      </c>
      <c r="J45" s="30">
        <f t="shared" si="9"/>
        <v>2.0969696969696972</v>
      </c>
      <c r="K45" s="30">
        <f t="shared" si="10"/>
        <v>1.6171878287087065</v>
      </c>
      <c r="L45" s="30">
        <f t="shared" si="11"/>
        <v>2.7572254335260111</v>
      </c>
      <c r="M45" s="28"/>
      <c r="N45" s="51"/>
    </row>
    <row r="46" spans="1:14">
      <c r="A46" s="60" t="s">
        <v>45</v>
      </c>
      <c r="B46" s="30">
        <v>0.158</v>
      </c>
      <c r="C46" s="31">
        <v>2.77</v>
      </c>
      <c r="D46" s="34">
        <v>211</v>
      </c>
      <c r="E46" s="34">
        <f t="shared" si="0"/>
        <v>64.309661688509593</v>
      </c>
      <c r="F46" s="31">
        <v>3.03</v>
      </c>
      <c r="G46" s="31">
        <f t="shared" si="1"/>
        <v>8.3930999999999987</v>
      </c>
      <c r="H46" s="30">
        <f t="shared" si="7"/>
        <v>0.74598339640945699</v>
      </c>
      <c r="I46" s="30">
        <f t="shared" si="8"/>
        <v>0.50419161676646707</v>
      </c>
      <c r="J46" s="30">
        <f t="shared" si="9"/>
        <v>1.9833729216152018</v>
      </c>
      <c r="K46" s="30">
        <f t="shared" si="10"/>
        <v>1.479563268413056</v>
      </c>
      <c r="L46" s="30">
        <f t="shared" si="11"/>
        <v>1.8143712574850299</v>
      </c>
      <c r="M46" s="28"/>
      <c r="N46" s="51"/>
    </row>
    <row r="47" spans="1:14">
      <c r="A47" s="60" t="s">
        <v>46</v>
      </c>
      <c r="B47" s="30">
        <v>0.42799999999999999</v>
      </c>
      <c r="C47" s="31">
        <v>2.87</v>
      </c>
      <c r="D47" s="34">
        <v>182</v>
      </c>
      <c r="E47" s="34">
        <f t="shared" si="0"/>
        <v>55.470893020420604</v>
      </c>
      <c r="F47" s="31">
        <v>4.7699999999999996</v>
      </c>
      <c r="G47" s="31">
        <f t="shared" si="1"/>
        <v>13.6899</v>
      </c>
      <c r="H47" s="30">
        <f t="shared" si="7"/>
        <v>0.75377398795744788</v>
      </c>
      <c r="I47" s="30">
        <f t="shared" si="8"/>
        <v>0.32316384180790964</v>
      </c>
      <c r="J47" s="30">
        <f t="shared" si="9"/>
        <v>3.0944055944055942</v>
      </c>
      <c r="K47" s="30">
        <f t="shared" si="10"/>
        <v>2.3324824452529418</v>
      </c>
      <c r="L47" s="30">
        <f t="shared" si="11"/>
        <v>2.6949152542372881</v>
      </c>
      <c r="M47" s="28"/>
      <c r="N47" s="51"/>
    </row>
    <row r="48" spans="1:14">
      <c r="A48" s="60" t="s">
        <v>47</v>
      </c>
      <c r="B48" s="30">
        <v>0.115</v>
      </c>
      <c r="C48" s="31">
        <v>2.62</v>
      </c>
      <c r="D48" s="34">
        <v>212</v>
      </c>
      <c r="E48" s="34">
        <f t="shared" si="0"/>
        <v>64.614446814995432</v>
      </c>
      <c r="F48" s="31">
        <v>1.64</v>
      </c>
      <c r="G48" s="31">
        <f t="shared" si="1"/>
        <v>4.2968000000000002</v>
      </c>
      <c r="H48" s="30">
        <f t="shared" si="7"/>
        <v>0.81759501364403597</v>
      </c>
      <c r="I48" s="30">
        <f t="shared" si="8"/>
        <v>0.58223684210526316</v>
      </c>
      <c r="J48" s="30">
        <f t="shared" si="9"/>
        <v>1.7175141242937852</v>
      </c>
      <c r="K48" s="30">
        <f t="shared" si="10"/>
        <v>1.4042309838858018</v>
      </c>
      <c r="L48" s="30">
        <f t="shared" si="11"/>
        <v>1.0789473684210527</v>
      </c>
      <c r="M48" s="28"/>
      <c r="N48" s="51"/>
    </row>
    <row r="49" spans="1:14">
      <c r="A49" s="60" t="s">
        <v>48</v>
      </c>
      <c r="B49" s="30">
        <v>2E-3</v>
      </c>
      <c r="C49" s="31">
        <v>4.08</v>
      </c>
      <c r="D49" s="34">
        <v>229</v>
      </c>
      <c r="E49" s="34">
        <f t="shared" si="0"/>
        <v>69.795793965254489</v>
      </c>
      <c r="F49" s="32">
        <v>261</v>
      </c>
      <c r="G49" s="32">
        <f t="shared" si="1"/>
        <v>1064.8800000000001</v>
      </c>
      <c r="H49" s="30">
        <f t="shared" si="7"/>
        <v>0.39964125813300133</v>
      </c>
      <c r="I49" s="30">
        <f t="shared" si="8"/>
        <v>0.33489932885906043</v>
      </c>
      <c r="J49" s="30">
        <f t="shared" si="9"/>
        <v>2.9859719438877752</v>
      </c>
      <c r="K49" s="30">
        <f t="shared" si="10"/>
        <v>1.1933175844051542</v>
      </c>
      <c r="L49" s="30">
        <f t="shared" si="11"/>
        <v>87.583892617449663</v>
      </c>
      <c r="M49" s="28"/>
      <c r="N49" s="51"/>
    </row>
    <row r="50" spans="1:14">
      <c r="A50" s="60"/>
      <c r="B50" s="30"/>
      <c r="C50" s="31"/>
      <c r="D50" s="34"/>
      <c r="E50" s="34"/>
      <c r="F50" s="32"/>
      <c r="G50" s="32"/>
      <c r="H50" s="30"/>
      <c r="I50" s="30"/>
      <c r="J50" s="30"/>
      <c r="K50" s="30"/>
      <c r="L50" s="30"/>
      <c r="M50" s="28"/>
      <c r="N50" s="51"/>
    </row>
    <row r="51" spans="1:14">
      <c r="A51" s="60" t="s">
        <v>49</v>
      </c>
      <c r="B51" s="30"/>
      <c r="C51" s="31"/>
      <c r="D51" s="34"/>
      <c r="E51" s="34"/>
      <c r="F51" s="32"/>
      <c r="G51" s="32"/>
      <c r="H51" s="30"/>
      <c r="I51" s="30"/>
      <c r="J51" s="30"/>
      <c r="K51" s="30"/>
      <c r="L51" s="30"/>
      <c r="M51" s="28"/>
      <c r="N51" s="51"/>
    </row>
    <row r="52" spans="1:14">
      <c r="A52" s="60" t="s">
        <v>50</v>
      </c>
      <c r="B52" s="30">
        <v>1.2999999999999999E-2</v>
      </c>
      <c r="C52" s="31">
        <v>2.58</v>
      </c>
      <c r="D52" s="34">
        <v>155</v>
      </c>
      <c r="E52" s="34">
        <f t="shared" si="0"/>
        <v>47.241694605303259</v>
      </c>
      <c r="F52" s="31">
        <v>1.7</v>
      </c>
      <c r="G52" s="31">
        <f t="shared" si="1"/>
        <v>4.3860000000000001</v>
      </c>
      <c r="H52" s="30">
        <f t="shared" ref="H52:H57" si="12">0.01*($E$27-E52)/(C52-$C$27)</f>
        <v>0.95707563705125431</v>
      </c>
      <c r="I52" s="30">
        <f t="shared" ref="I52:I57" si="13">(1-B52)/(C52-$C$27)</f>
        <v>0.66689189189189191</v>
      </c>
      <c r="J52" s="30">
        <f t="shared" ref="J52:J57" si="14">1/I52</f>
        <v>1.4994934143870313</v>
      </c>
      <c r="K52" s="30">
        <f t="shared" ref="K52:K57" si="15">H52/I52</f>
        <v>1.4351286148286284</v>
      </c>
      <c r="L52" s="30">
        <f t="shared" ref="L52:L57" si="16">F52/(C52-$C$27)</f>
        <v>1.1486486486486487</v>
      </c>
      <c r="M52" s="28"/>
      <c r="N52" s="51"/>
    </row>
    <row r="53" spans="1:14">
      <c r="A53" s="60" t="s">
        <v>51</v>
      </c>
      <c r="B53" s="30">
        <v>-1.7999999999999999E-2</v>
      </c>
      <c r="C53" s="31">
        <v>2.74</v>
      </c>
      <c r="D53" s="34">
        <v>148</v>
      </c>
      <c r="E53" s="34">
        <f t="shared" si="0"/>
        <v>45.108198719902468</v>
      </c>
      <c r="F53" s="31">
        <v>3.14</v>
      </c>
      <c r="G53" s="31">
        <f t="shared" si="1"/>
        <v>8.6036000000000001</v>
      </c>
      <c r="H53" s="30">
        <f t="shared" si="12"/>
        <v>0.87671152542064867</v>
      </c>
      <c r="I53" s="30">
        <f t="shared" si="13"/>
        <v>0.62073170731707317</v>
      </c>
      <c r="J53" s="30">
        <f t="shared" si="14"/>
        <v>1.6110019646365423</v>
      </c>
      <c r="K53" s="30">
        <f t="shared" si="15"/>
        <v>1.4123839898721648</v>
      </c>
      <c r="L53" s="30">
        <f t="shared" si="16"/>
        <v>1.9146341463414633</v>
      </c>
      <c r="M53" s="28"/>
      <c r="N53" s="51"/>
    </row>
    <row r="54" spans="1:14">
      <c r="A54" s="60" t="s">
        <v>52</v>
      </c>
      <c r="B54" s="30">
        <v>-1.0999999999999999E-2</v>
      </c>
      <c r="C54" s="31">
        <v>2.54</v>
      </c>
      <c r="D54" s="34">
        <v>226</v>
      </c>
      <c r="E54" s="34">
        <f t="shared" si="0"/>
        <v>68.881438585797014</v>
      </c>
      <c r="F54" s="31">
        <v>2.87</v>
      </c>
      <c r="G54" s="31">
        <f t="shared" si="1"/>
        <v>7.2898000000000005</v>
      </c>
      <c r="H54" s="30">
        <f t="shared" si="12"/>
        <v>0.83338507154924923</v>
      </c>
      <c r="I54" s="30">
        <f t="shared" si="13"/>
        <v>0.70208333333333328</v>
      </c>
      <c r="J54" s="30">
        <f t="shared" si="14"/>
        <v>1.42433234421365</v>
      </c>
      <c r="K54" s="30">
        <f t="shared" si="15"/>
        <v>1.1870173125924026</v>
      </c>
      <c r="L54" s="30">
        <f t="shared" si="16"/>
        <v>1.9930555555555558</v>
      </c>
      <c r="M54" s="28"/>
      <c r="N54" s="51"/>
    </row>
    <row r="55" spans="1:14">
      <c r="A55" s="60" t="s">
        <v>53</v>
      </c>
      <c r="B55" s="30">
        <v>0.129</v>
      </c>
      <c r="C55" s="31">
        <v>3.91</v>
      </c>
      <c r="D55" s="34">
        <v>144</v>
      </c>
      <c r="E55" s="34">
        <f t="shared" si="0"/>
        <v>43.88905821395916</v>
      </c>
      <c r="F55" s="31">
        <v>14.3</v>
      </c>
      <c r="G55" s="31">
        <f t="shared" si="1"/>
        <v>55.913000000000004</v>
      </c>
      <c r="H55" s="30">
        <f t="shared" si="12"/>
        <v>0.51601363229512365</v>
      </c>
      <c r="I55" s="30">
        <f t="shared" si="13"/>
        <v>0.30996441281138787</v>
      </c>
      <c r="J55" s="30">
        <f t="shared" si="14"/>
        <v>3.2261768082663607</v>
      </c>
      <c r="K55" s="30">
        <f t="shared" si="15"/>
        <v>1.6647512132598135</v>
      </c>
      <c r="L55" s="30">
        <f t="shared" si="16"/>
        <v>5.0889679715302494</v>
      </c>
      <c r="M55" s="28"/>
      <c r="N55" s="51"/>
    </row>
    <row r="56" spans="1:14">
      <c r="A56" s="60" t="s">
        <v>54</v>
      </c>
      <c r="B56" s="30">
        <v>5.7000000000000002E-2</v>
      </c>
      <c r="C56" s="31">
        <v>3.08</v>
      </c>
      <c r="D56" s="34">
        <v>150</v>
      </c>
      <c r="E56" s="34">
        <f t="shared" si="0"/>
        <v>45.717768972874119</v>
      </c>
      <c r="F56" s="31">
        <v>8.3699999999999992</v>
      </c>
      <c r="G56" s="31">
        <f t="shared" si="1"/>
        <v>25.779599999999999</v>
      </c>
      <c r="H56" s="30">
        <f t="shared" si="12"/>
        <v>0.72308646422229683</v>
      </c>
      <c r="I56" s="30">
        <f t="shared" si="13"/>
        <v>0.47626262626262622</v>
      </c>
      <c r="J56" s="30">
        <f t="shared" si="14"/>
        <v>2.0996818663838814</v>
      </c>
      <c r="K56" s="30">
        <f t="shared" si="15"/>
        <v>1.5182515367551939</v>
      </c>
      <c r="L56" s="30">
        <f t="shared" si="16"/>
        <v>4.2272727272727266</v>
      </c>
      <c r="M56" s="28"/>
      <c r="N56" s="51"/>
    </row>
    <row r="57" spans="1:14">
      <c r="A57" s="60" t="s">
        <v>55</v>
      </c>
      <c r="B57" s="30">
        <v>-1.9E-2</v>
      </c>
      <c r="C57" s="31">
        <v>5</v>
      </c>
      <c r="D57" s="34">
        <v>130</v>
      </c>
      <c r="E57" s="34">
        <f t="shared" si="0"/>
        <v>39.622066443157571</v>
      </c>
      <c r="F57" s="31">
        <v>16.399999999999999</v>
      </c>
      <c r="G57" s="31">
        <f t="shared" si="1"/>
        <v>82</v>
      </c>
      <c r="H57" s="30">
        <f t="shared" si="12"/>
        <v>0.38273544216854188</v>
      </c>
      <c r="I57" s="30">
        <f t="shared" si="13"/>
        <v>0.26128205128205129</v>
      </c>
      <c r="J57" s="30">
        <f t="shared" si="14"/>
        <v>3.8272816486751715</v>
      </c>
      <c r="K57" s="30">
        <f t="shared" si="15"/>
        <v>1.4648363341092379</v>
      </c>
      <c r="L57" s="30">
        <f t="shared" si="16"/>
        <v>4.2051282051282053</v>
      </c>
      <c r="M57" s="28"/>
      <c r="N57" s="51"/>
    </row>
    <row r="58" spans="1:14">
      <c r="A58" s="60"/>
      <c r="B58" s="30"/>
      <c r="C58" s="31"/>
      <c r="D58" s="34"/>
      <c r="E58" s="34"/>
      <c r="F58" s="31"/>
      <c r="G58" s="31"/>
      <c r="H58" s="30"/>
      <c r="I58" s="30"/>
      <c r="J58" s="30"/>
      <c r="K58" s="30"/>
      <c r="L58" s="30"/>
      <c r="M58" s="28"/>
      <c r="N58" s="51"/>
    </row>
    <row r="59" spans="1:14">
      <c r="A59" s="60" t="s">
        <v>56</v>
      </c>
      <c r="B59" s="28"/>
      <c r="C59" s="28"/>
      <c r="D59" s="50"/>
      <c r="E59" s="28"/>
      <c r="F59" s="28"/>
      <c r="G59" s="28"/>
      <c r="H59" s="28"/>
      <c r="I59" s="28"/>
      <c r="J59" s="28"/>
      <c r="K59" s="28"/>
      <c r="L59" s="29"/>
      <c r="M59" s="28"/>
      <c r="N59" s="51"/>
    </row>
    <row r="60" spans="1:14">
      <c r="A60" s="60" t="s">
        <v>38</v>
      </c>
      <c r="B60" s="30">
        <v>2E-3</v>
      </c>
      <c r="C60" s="31">
        <v>2.95</v>
      </c>
      <c r="D60" s="34">
        <v>164</v>
      </c>
      <c r="E60" s="34">
        <f t="shared" ref="E60" si="17">D60/3.281</f>
        <v>49.984760743675707</v>
      </c>
      <c r="F60" s="31">
        <v>5.08</v>
      </c>
      <c r="G60" s="31">
        <f t="shared" ref="G60" si="18">C60*F60</f>
        <v>14.986000000000001</v>
      </c>
      <c r="H60" s="30">
        <f t="shared" ref="H60:H65" si="19">0.01*($E$27-E60)/(C60-$C$27)</f>
        <v>0.75083312510926037</v>
      </c>
      <c r="I60" s="30">
        <f t="shared" ref="I60:I65" si="20">(1-B60)/(C60-$C$27)</f>
        <v>0.53945945945945939</v>
      </c>
      <c r="J60" s="30">
        <f t="shared" ref="J60:J65" si="21">1/I60</f>
        <v>1.8537074148296595</v>
      </c>
      <c r="K60" s="30">
        <f t="shared" ref="K60:K65" si="22">H60/I60</f>
        <v>1.3918249313147615</v>
      </c>
      <c r="L60" s="30">
        <f t="shared" ref="L60:L65" si="23">F60/(C60-$C$27)</f>
        <v>2.7459459459459459</v>
      </c>
      <c r="M60" s="28"/>
      <c r="N60" s="51"/>
    </row>
    <row r="61" spans="1:14">
      <c r="A61" s="60" t="s">
        <v>57</v>
      </c>
      <c r="B61" s="30">
        <v>-0.01</v>
      </c>
      <c r="C61" s="31">
        <v>2.0299999999999998</v>
      </c>
      <c r="D61" s="34">
        <v>220</v>
      </c>
      <c r="E61" s="34">
        <f t="shared" si="0"/>
        <v>67.052727826882048</v>
      </c>
      <c r="F61" s="31">
        <v>4.72</v>
      </c>
      <c r="G61" s="31">
        <f t="shared" si="1"/>
        <v>9.5815999999999981</v>
      </c>
      <c r="H61" s="30">
        <f t="shared" si="19"/>
        <v>1.3100662479785685</v>
      </c>
      <c r="I61" s="30">
        <f t="shared" si="20"/>
        <v>1.0860215053763445</v>
      </c>
      <c r="J61" s="30">
        <f t="shared" si="21"/>
        <v>0.9207920792079205</v>
      </c>
      <c r="K61" s="30">
        <f t="shared" si="22"/>
        <v>1.2062986243763052</v>
      </c>
      <c r="L61" s="30">
        <f t="shared" si="23"/>
        <v>5.0752688172043028</v>
      </c>
      <c r="M61" s="28"/>
      <c r="N61" s="51"/>
    </row>
    <row r="62" spans="1:14">
      <c r="A62" s="60" t="s">
        <v>39</v>
      </c>
      <c r="B62" s="30">
        <v>0.49</v>
      </c>
      <c r="C62" s="31">
        <v>2.35</v>
      </c>
      <c r="D62" s="34">
        <v>172</v>
      </c>
      <c r="E62" s="34">
        <f t="shared" si="0"/>
        <v>52.423041755562323</v>
      </c>
      <c r="F62" s="31">
        <v>4.04</v>
      </c>
      <c r="G62" s="31">
        <f t="shared" si="1"/>
        <v>9.4939999999999998</v>
      </c>
      <c r="H62" s="30">
        <f t="shared" si="19"/>
        <v>1.0917267770666128</v>
      </c>
      <c r="I62" s="30">
        <f t="shared" si="20"/>
        <v>0.40800000000000003</v>
      </c>
      <c r="J62" s="30">
        <f t="shared" si="21"/>
        <v>2.4509803921568625</v>
      </c>
      <c r="K62" s="30">
        <f t="shared" si="22"/>
        <v>2.6758009241828744</v>
      </c>
      <c r="L62" s="30">
        <f t="shared" si="23"/>
        <v>3.2320000000000002</v>
      </c>
      <c r="M62" s="28"/>
      <c r="N62" s="51"/>
    </row>
    <row r="63" spans="1:14">
      <c r="A63" s="60" t="s">
        <v>58</v>
      </c>
      <c r="B63" s="30">
        <v>0.35</v>
      </c>
      <c r="C63" s="31">
        <v>2.08</v>
      </c>
      <c r="D63" s="34">
        <f>E63*3.281</f>
        <v>213.26500000000001</v>
      </c>
      <c r="E63" s="34">
        <v>65</v>
      </c>
      <c r="F63" s="31">
        <v>0.71</v>
      </c>
      <c r="G63" s="31">
        <f t="shared" si="1"/>
        <v>1.4767999999999999</v>
      </c>
      <c r="H63" s="30">
        <f t="shared" si="19"/>
        <v>1.2641723356009071</v>
      </c>
      <c r="I63" s="30">
        <f t="shared" si="20"/>
        <v>0.66326530612244905</v>
      </c>
      <c r="J63" s="30">
        <f t="shared" si="21"/>
        <v>1.5076923076923074</v>
      </c>
      <c r="K63" s="30">
        <f t="shared" si="22"/>
        <v>1.9059829059829059</v>
      </c>
      <c r="L63" s="30">
        <f t="shared" si="23"/>
        <v>0.72448979591836737</v>
      </c>
      <c r="M63" s="28"/>
      <c r="N63" s="51"/>
    </row>
    <row r="64" spans="1:14">
      <c r="A64" s="60" t="s">
        <v>59</v>
      </c>
      <c r="B64" s="30">
        <v>0.02</v>
      </c>
      <c r="C64" s="31">
        <v>2.02</v>
      </c>
      <c r="D64" s="34">
        <f>122*3.281</f>
        <v>400.28200000000004</v>
      </c>
      <c r="E64" s="34">
        <v>122</v>
      </c>
      <c r="F64" s="31">
        <v>5.05</v>
      </c>
      <c r="G64" s="31">
        <f t="shared" si="1"/>
        <v>10.201000000000001</v>
      </c>
      <c r="H64" s="30">
        <f t="shared" si="19"/>
        <v>0.72705314009661837</v>
      </c>
      <c r="I64" s="30">
        <f t="shared" si="20"/>
        <v>1.0652173913043479</v>
      </c>
      <c r="J64" s="30">
        <f t="shared" si="21"/>
        <v>0.93877551020408156</v>
      </c>
      <c r="K64" s="30">
        <f t="shared" si="22"/>
        <v>0.68253968253968256</v>
      </c>
      <c r="L64" s="30">
        <f t="shared" si="23"/>
        <v>5.4891304347826093</v>
      </c>
      <c r="M64" s="28"/>
      <c r="N64" s="51"/>
    </row>
    <row r="65" spans="1:14">
      <c r="A65" s="60" t="s">
        <v>60</v>
      </c>
      <c r="B65" s="30">
        <v>-6.0000000000000001E-3</v>
      </c>
      <c r="C65" s="31">
        <v>3.12</v>
      </c>
      <c r="D65" s="34">
        <v>150</v>
      </c>
      <c r="E65" s="34">
        <f>D65/3.281</f>
        <v>45.717768972874119</v>
      </c>
      <c r="F65" s="31">
        <v>6.66</v>
      </c>
      <c r="G65" s="31">
        <f>C65*F65</f>
        <v>20.779199999999999</v>
      </c>
      <c r="H65" s="30">
        <f t="shared" si="19"/>
        <v>0.70876792037631076</v>
      </c>
      <c r="I65" s="30">
        <f t="shared" si="20"/>
        <v>0.49801980198019802</v>
      </c>
      <c r="J65" s="30">
        <f t="shared" si="21"/>
        <v>2.0079522862823063</v>
      </c>
      <c r="K65" s="30">
        <f t="shared" si="22"/>
        <v>1.4231721661631687</v>
      </c>
      <c r="L65" s="30">
        <f t="shared" si="23"/>
        <v>3.2970297029702968</v>
      </c>
      <c r="M65" s="28"/>
      <c r="N65" s="51"/>
    </row>
    <row r="66" spans="1:14">
      <c r="A66" s="60"/>
      <c r="B66" s="30"/>
      <c r="C66" s="31"/>
      <c r="D66" s="34"/>
      <c r="E66" s="34"/>
      <c r="F66" s="31"/>
      <c r="G66" s="31"/>
      <c r="H66" s="30"/>
      <c r="I66" s="30"/>
      <c r="J66" s="30"/>
      <c r="K66" s="30"/>
      <c r="L66" s="30"/>
      <c r="M66" s="28"/>
      <c r="N66" s="51"/>
    </row>
    <row r="67" spans="1:14">
      <c r="A67" s="60" t="s">
        <v>61</v>
      </c>
      <c r="B67" s="28"/>
      <c r="C67" s="28"/>
      <c r="D67" s="50"/>
      <c r="E67" s="28"/>
      <c r="F67" s="28"/>
      <c r="G67" s="28"/>
      <c r="H67" s="28"/>
      <c r="I67" s="28"/>
      <c r="J67" s="28"/>
      <c r="K67" s="28"/>
      <c r="L67" s="29"/>
      <c r="M67" s="28"/>
      <c r="N67" s="51"/>
    </row>
    <row r="68" spans="1:14">
      <c r="A68" s="60" t="s">
        <v>57</v>
      </c>
      <c r="B68" s="30">
        <v>-0.01</v>
      </c>
      <c r="C68" s="31">
        <v>2.0299999999999998</v>
      </c>
      <c r="D68" s="34">
        <v>220</v>
      </c>
      <c r="E68" s="34">
        <f t="shared" ref="E68" si="24">D68/3.281</f>
        <v>67.052727826882048</v>
      </c>
      <c r="F68" s="31">
        <v>4.72</v>
      </c>
      <c r="G68" s="31">
        <f t="shared" ref="G68" si="25">C68*F68</f>
        <v>9.5815999999999981</v>
      </c>
      <c r="H68" s="30">
        <f t="shared" ref="H68:H73" si="26">0.01*($E$27-E68)/(C68-$C$27)</f>
        <v>1.3100662479785685</v>
      </c>
      <c r="I68" s="30">
        <f t="shared" ref="I68:I73" si="27">(1-B68)/(C68-$C$27)</f>
        <v>1.0860215053763445</v>
      </c>
      <c r="J68" s="30">
        <f t="shared" ref="J68:J73" si="28">1/I68</f>
        <v>0.9207920792079205</v>
      </c>
      <c r="K68" s="30">
        <f t="shared" ref="K68:K73" si="29">H68/I68</f>
        <v>1.2062986243763052</v>
      </c>
      <c r="L68" s="30">
        <f t="shared" ref="L68:L73" si="30">F68/(C68-$C$27)</f>
        <v>5.0752688172043028</v>
      </c>
      <c r="M68" s="30">
        <v>0</v>
      </c>
      <c r="N68" s="51"/>
    </row>
    <row r="69" spans="1:14">
      <c r="A69" s="60" t="s">
        <v>62</v>
      </c>
      <c r="B69" s="30">
        <v>-4.1000000000000002E-2</v>
      </c>
      <c r="C69" s="31">
        <v>1.86</v>
      </c>
      <c r="D69" s="34">
        <v>242</v>
      </c>
      <c r="E69" s="34">
        <f>D69/3.281</f>
        <v>73.758000609570246</v>
      </c>
      <c r="F69" s="31">
        <v>8.76</v>
      </c>
      <c r="G69" s="31">
        <f>C69*F69</f>
        <v>16.293600000000001</v>
      </c>
      <c r="H69" s="30">
        <f t="shared" si="26"/>
        <v>1.514880108938403</v>
      </c>
      <c r="I69" s="30">
        <f t="shared" si="27"/>
        <v>1.3697368421052631</v>
      </c>
      <c r="J69" s="30">
        <f t="shared" si="28"/>
        <v>0.73006724303554271</v>
      </c>
      <c r="K69" s="30">
        <f t="shared" si="29"/>
        <v>1.1059643446620426</v>
      </c>
      <c r="L69" s="30">
        <f t="shared" si="30"/>
        <v>11.526315789473683</v>
      </c>
      <c r="M69" s="30">
        <v>0.63</v>
      </c>
      <c r="N69" s="51"/>
    </row>
    <row r="70" spans="1:14">
      <c r="A70" s="60" t="s">
        <v>63</v>
      </c>
      <c r="B70" s="30">
        <v>0.58399999999999996</v>
      </c>
      <c r="C70" s="31">
        <v>1.56</v>
      </c>
      <c r="D70" s="34">
        <v>256</v>
      </c>
      <c r="E70" s="34">
        <f>D70/3.281</f>
        <v>78.024992380371827</v>
      </c>
      <c r="F70" s="31">
        <v>4.29</v>
      </c>
      <c r="G70" s="31">
        <f>C70*F70</f>
        <v>6.6924000000000001</v>
      </c>
      <c r="H70" s="30">
        <f t="shared" si="26"/>
        <v>2.4100847067068929</v>
      </c>
      <c r="I70" s="30">
        <f t="shared" si="27"/>
        <v>0.90434782608695663</v>
      </c>
      <c r="J70" s="30">
        <f t="shared" si="28"/>
        <v>1.1057692307692306</v>
      </c>
      <c r="K70" s="30">
        <f t="shared" si="29"/>
        <v>2.6649975122239677</v>
      </c>
      <c r="L70" s="30">
        <f t="shared" si="30"/>
        <v>9.3260869565217401</v>
      </c>
      <c r="M70" s="30">
        <v>0.17</v>
      </c>
      <c r="N70" s="51"/>
    </row>
    <row r="71" spans="1:14">
      <c r="A71" s="60" t="s">
        <v>64</v>
      </c>
      <c r="B71" s="30">
        <v>-0.02</v>
      </c>
      <c r="C71" s="31">
        <v>2.82</v>
      </c>
      <c r="D71" s="34">
        <f>52*3.281</f>
        <v>170.61199999999999</v>
      </c>
      <c r="E71" s="34">
        <v>52</v>
      </c>
      <c r="F71" s="31">
        <v>3.56</v>
      </c>
      <c r="G71" s="31">
        <f t="shared" ref="G71:G73" si="31">C71*F71</f>
        <v>10.039199999999999</v>
      </c>
      <c r="H71" s="30">
        <f t="shared" si="26"/>
        <v>0.79586563307493552</v>
      </c>
      <c r="I71" s="30">
        <f t="shared" si="27"/>
        <v>0.59302325581395354</v>
      </c>
      <c r="J71" s="30">
        <f t="shared" si="28"/>
        <v>1.6862745098039214</v>
      </c>
      <c r="K71" s="30">
        <f t="shared" si="29"/>
        <v>1.3420479302832244</v>
      </c>
      <c r="L71" s="30">
        <f t="shared" si="30"/>
        <v>2.0697674418604652</v>
      </c>
      <c r="M71" s="29">
        <v>0.22600000000000001</v>
      </c>
      <c r="N71" s="51"/>
    </row>
    <row r="72" spans="1:14">
      <c r="A72" s="60" t="s">
        <v>65</v>
      </c>
      <c r="B72" s="30">
        <v>0.15</v>
      </c>
      <c r="C72" s="31">
        <v>2.79</v>
      </c>
      <c r="D72" s="34">
        <f>57.5*3.281</f>
        <v>188.6575</v>
      </c>
      <c r="E72" s="34">
        <v>57.5</v>
      </c>
      <c r="F72" s="31">
        <v>4.32</v>
      </c>
      <c r="G72" s="31">
        <f t="shared" si="31"/>
        <v>12.052800000000001</v>
      </c>
      <c r="H72" s="30">
        <f t="shared" si="26"/>
        <v>0.77744904667981596</v>
      </c>
      <c r="I72" s="30">
        <f t="shared" si="27"/>
        <v>0.50295857988165682</v>
      </c>
      <c r="J72" s="30">
        <f t="shared" si="28"/>
        <v>1.9882352941176471</v>
      </c>
      <c r="K72" s="30">
        <f t="shared" si="29"/>
        <v>1.5457516339869282</v>
      </c>
      <c r="L72" s="30">
        <f t="shared" si="30"/>
        <v>2.5562130177514795</v>
      </c>
      <c r="M72" s="30">
        <v>0.155</v>
      </c>
      <c r="N72" s="51"/>
    </row>
    <row r="73" spans="1:14">
      <c r="A73" s="60" t="s">
        <v>66</v>
      </c>
      <c r="B73" s="30">
        <v>0.45</v>
      </c>
      <c r="C73" s="31">
        <v>2.12</v>
      </c>
      <c r="D73" s="34">
        <f>65*3.281</f>
        <v>213.26500000000001</v>
      </c>
      <c r="E73" s="34">
        <v>65</v>
      </c>
      <c r="F73" s="31">
        <v>3.5</v>
      </c>
      <c r="G73" s="31">
        <f t="shared" si="31"/>
        <v>7.42</v>
      </c>
      <c r="H73" s="30">
        <f t="shared" si="26"/>
        <v>1.2145969498910676</v>
      </c>
      <c r="I73" s="30">
        <f t="shared" si="27"/>
        <v>0.53921568627450989</v>
      </c>
      <c r="J73" s="30">
        <f t="shared" si="28"/>
        <v>1.8545454545454543</v>
      </c>
      <c r="K73" s="30">
        <f t="shared" si="29"/>
        <v>2.2525252525252522</v>
      </c>
      <c r="L73" s="30">
        <f t="shared" si="30"/>
        <v>3.4313725490196076</v>
      </c>
      <c r="M73" s="30">
        <v>0.189</v>
      </c>
      <c r="N73" s="51"/>
    </row>
    <row r="74" spans="1:14">
      <c r="A74" s="60"/>
      <c r="B74" s="30"/>
      <c r="C74" s="31"/>
      <c r="D74" s="34"/>
      <c r="E74" s="34"/>
      <c r="F74" s="31"/>
      <c r="G74" s="31"/>
      <c r="H74" s="30"/>
      <c r="I74" s="30"/>
      <c r="J74" s="30"/>
      <c r="K74" s="30"/>
      <c r="L74" s="33"/>
      <c r="M74" s="28"/>
      <c r="N74" s="51"/>
    </row>
    <row r="75" spans="1:14">
      <c r="A75" s="60" t="s">
        <v>67</v>
      </c>
      <c r="B75" s="30"/>
      <c r="C75" s="31"/>
      <c r="D75" s="34"/>
      <c r="E75" s="34"/>
      <c r="F75" s="31"/>
      <c r="G75" s="31"/>
      <c r="H75" s="30"/>
      <c r="I75" s="30"/>
      <c r="J75" s="30"/>
      <c r="K75" s="30"/>
      <c r="L75" s="33"/>
      <c r="M75" s="28"/>
      <c r="N75" s="51"/>
    </row>
    <row r="76" spans="1:14">
      <c r="A76" s="60" t="s">
        <v>68</v>
      </c>
      <c r="B76" s="30">
        <v>0.41399999999999998</v>
      </c>
      <c r="C76" s="31">
        <v>1.47</v>
      </c>
      <c r="D76" s="34">
        <v>345</v>
      </c>
      <c r="E76" s="34">
        <f t="shared" si="0"/>
        <v>105.15086863761049</v>
      </c>
      <c r="F76" s="31">
        <v>0.2</v>
      </c>
      <c r="G76" s="31">
        <f t="shared" si="1"/>
        <v>0.29399999999999998</v>
      </c>
      <c r="H76" s="30">
        <f t="shared" ref="H76:H77" si="32">0.01*($E$27-E76)/(C76-$C$27)</f>
        <v>2.2631897365210385</v>
      </c>
      <c r="I76" s="30">
        <f t="shared" ref="I76:I77" si="33">(1-B76)/(C76-$C$27)</f>
        <v>1.5837837837837845</v>
      </c>
      <c r="J76" s="30">
        <f t="shared" ref="J76:J77" si="34">1/I76</f>
        <v>0.63139931740614308</v>
      </c>
      <c r="K76" s="30">
        <f t="shared" ref="K76:K77" si="35">H76/I76</f>
        <v>1.4289764547999724</v>
      </c>
      <c r="L76" s="30">
        <f t="shared" ref="L76:L77" si="36">F76/(C76-$C$27)</f>
        <v>0.54054054054054079</v>
      </c>
      <c r="M76" s="28"/>
      <c r="N76" s="51"/>
    </row>
    <row r="77" spans="1:14">
      <c r="A77" s="60" t="s">
        <v>69</v>
      </c>
      <c r="B77" s="30">
        <v>0.54200000000000004</v>
      </c>
      <c r="C77" s="31">
        <v>1.19</v>
      </c>
      <c r="D77" s="34">
        <v>525</v>
      </c>
      <c r="E77" s="34">
        <f t="shared" si="0"/>
        <v>160.01219140505944</v>
      </c>
      <c r="F77" s="31">
        <v>0.25</v>
      </c>
      <c r="G77" s="31">
        <f t="shared" si="1"/>
        <v>0.29749999999999999</v>
      </c>
      <c r="H77" s="30">
        <f t="shared" si="32"/>
        <v>3.2085219426477209</v>
      </c>
      <c r="I77" s="30">
        <f t="shared" si="33"/>
        <v>5.0888888888888966</v>
      </c>
      <c r="J77" s="30">
        <f t="shared" si="34"/>
        <v>0.19650655021834032</v>
      </c>
      <c r="K77" s="30">
        <f t="shared" si="35"/>
        <v>0.63049557824955116</v>
      </c>
      <c r="L77" s="30">
        <f t="shared" si="36"/>
        <v>2.7777777777777821</v>
      </c>
      <c r="M77" s="28"/>
      <c r="N77" s="51"/>
    </row>
    <row r="78" spans="1:14" ht="13.5" thickBot="1">
      <c r="A78" s="62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8"/>
      <c r="M78" s="28"/>
      <c r="N78" s="51"/>
    </row>
    <row r="79" spans="1:14" ht="14.25" thickTop="1" thickBot="1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9"/>
    </row>
    <row r="80" spans="1:14" ht="13.5" thickTop="1"/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4metagas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2018-09-30T19:14:46Z</dcterms:created>
  <dcterms:modified xsi:type="dcterms:W3CDTF">2018-11-12T00:22:54Z</dcterms:modified>
</cp:coreProperties>
</file>